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<sst xmlns="http://schemas.openxmlformats.org/spreadsheetml/2006/main" count="353" uniqueCount="186">
  <si>
    <t>Dilution</t>
  </si>
  <si>
    <t>ml</t>
  </si>
  <si>
    <t>Suxamethonium</t>
  </si>
  <si>
    <t>mg/kg</t>
  </si>
  <si>
    <t>mg</t>
  </si>
  <si>
    <t>Vecuronium</t>
  </si>
  <si>
    <t>Thiopentone</t>
  </si>
  <si>
    <t>Electrical Cardiversion</t>
  </si>
  <si>
    <t>Indication</t>
  </si>
  <si>
    <t>Actual dose</t>
  </si>
  <si>
    <t>Anaesthetic Drugs</t>
  </si>
  <si>
    <t>Atracurium</t>
  </si>
  <si>
    <t>Resuscitation Drugs</t>
  </si>
  <si>
    <t>Sodium bicarbonate (8.4%)</t>
  </si>
  <si>
    <t>Analgesics</t>
  </si>
  <si>
    <t>ETT tube</t>
  </si>
  <si>
    <t>Joules/kg second dose</t>
  </si>
  <si>
    <t>Joules/kg first dose</t>
  </si>
  <si>
    <t>Joules/kg third dose</t>
  </si>
  <si>
    <t>Synchronous Cardioversion</t>
  </si>
  <si>
    <t>Joules</t>
  </si>
  <si>
    <t>Amiodarone</t>
  </si>
  <si>
    <t>Intranasal Diamorphine</t>
  </si>
  <si>
    <t>Ibuprofen</t>
  </si>
  <si>
    <t>Other Cardiac Drugs</t>
  </si>
  <si>
    <t>Seizure drugs</t>
  </si>
  <si>
    <t>Asthma drugs</t>
  </si>
  <si>
    <t>Salbutamol nebuliser</t>
  </si>
  <si>
    <t>Ipratropium bromide nebuliser</t>
  </si>
  <si>
    <t>Intravenous Salbutamol</t>
  </si>
  <si>
    <t>none</t>
  </si>
  <si>
    <t>500mg powder in 20mls WFI</t>
  </si>
  <si>
    <t>mls/kg</t>
  </si>
  <si>
    <t>ml/kg</t>
  </si>
  <si>
    <t>Diazepam PR</t>
  </si>
  <si>
    <t>Lorazepam IV</t>
  </si>
  <si>
    <t>Paraldehyde PR</t>
  </si>
  <si>
    <t>Phenobarbitone IV</t>
  </si>
  <si>
    <t xml:space="preserve">9mls WFI + 1mls morphine </t>
  </si>
  <si>
    <t>Morphine (10mg/ml)</t>
  </si>
  <si>
    <t>Ca Gluconate 10%</t>
  </si>
  <si>
    <t>Intravenous Aminophylline</t>
  </si>
  <si>
    <t>Antibiotics (loading dose)</t>
  </si>
  <si>
    <t>Suction catheter size</t>
  </si>
  <si>
    <t>mls/hr</t>
  </si>
  <si>
    <t>Adenosine - IV bolus</t>
  </si>
  <si>
    <t>Activated Charcoal - ORAL</t>
  </si>
  <si>
    <t>g/kg</t>
  </si>
  <si>
    <t>grams</t>
  </si>
  <si>
    <t xml:space="preserve"> </t>
  </si>
  <si>
    <t>Paediatric Drug and Infusion Calculator - St Johns Hospital, Livingston.</t>
  </si>
  <si>
    <t>kg</t>
  </si>
  <si>
    <t>Adrenaline 1:10,000 IV bolus</t>
  </si>
  <si>
    <t>Anaphylaxis, no dilution</t>
  </si>
  <si>
    <t>Adrenaline 1:1000 IM</t>
  </si>
  <si>
    <t>Adrenaline for croup - nebulised</t>
  </si>
  <si>
    <t>mls</t>
  </si>
  <si>
    <t>Alprostadil</t>
  </si>
  <si>
    <t>ng/kg/min</t>
  </si>
  <si>
    <t>ng/min</t>
  </si>
  <si>
    <t>Not diluted, 1 in 1:1000</t>
  </si>
  <si>
    <t>IV Infusion, single loading dose over 20-30 mins</t>
  </si>
  <si>
    <t>mg/kg (max 500mg)</t>
  </si>
  <si>
    <t>50-100 ng/kg/min</t>
  </si>
  <si>
    <t xml:space="preserve">IV loading dose </t>
  </si>
  <si>
    <t>mg/kg (max 300mg)</t>
  </si>
  <si>
    <t>mg/kg (maximum 600mcg)</t>
  </si>
  <si>
    <t>Recommended dose per kg</t>
  </si>
  <si>
    <t>BD, QDS in meningitis and severe infections</t>
  </si>
  <si>
    <t>Ceftriaxone - IV</t>
  </si>
  <si>
    <t>Cefotaxime - IV</t>
  </si>
  <si>
    <t>20-50mg/kg OD, 80mg/kg in severe infections</t>
  </si>
  <si>
    <t>mg/kg (max 4g)</t>
  </si>
  <si>
    <t>Anaphylaxis drugs</t>
  </si>
  <si>
    <t>mg/kg (if under 1)</t>
  </si>
  <si>
    <t>Chlorpheniramine - IV</t>
  </si>
  <si>
    <t>Codine phosphate - ORAL</t>
  </si>
  <si>
    <t>Desferrioxamine</t>
  </si>
  <si>
    <t>mg/kg/hr</t>
  </si>
  <si>
    <t>mg/hr</t>
  </si>
  <si>
    <t>Dilute with saline to volume of 0.2mls</t>
  </si>
  <si>
    <t>Diazepam IV / IO</t>
  </si>
  <si>
    <t>Voltarol PR or ORAL</t>
  </si>
  <si>
    <t>Flucloxacillin - IV</t>
  </si>
  <si>
    <t>QDS - Max 1g or 2g in severe infection</t>
  </si>
  <si>
    <t>Frusemide - IV bolus</t>
  </si>
  <si>
    <t>Hydrocortisone - IV</t>
  </si>
  <si>
    <t xml:space="preserve">4 mg/kg bolus then 2-4mg/kg qds </t>
  </si>
  <si>
    <t xml:space="preserve">mg/kg </t>
  </si>
  <si>
    <t>Max: 20 mg/kg/day up to 2.4 g/day</t>
  </si>
  <si>
    <t>Insulin - IV</t>
  </si>
  <si>
    <t>units/kg/hour</t>
  </si>
  <si>
    <t>Lignocaine - IV local anaesthetic</t>
  </si>
  <si>
    <t>Other drugs</t>
  </si>
  <si>
    <t>IV infusion over 30 minutes</t>
  </si>
  <si>
    <t xml:space="preserve">Mannitol - 20% solution </t>
  </si>
  <si>
    <t xml:space="preserve">Mannitol - 10% solution </t>
  </si>
  <si>
    <t>Initial dose 20mg/kg, Max 90mg/kg per day</t>
  </si>
  <si>
    <t>Paracetamol - ORAL</t>
  </si>
  <si>
    <t>Dilute with equal volume of olive/sunflower oil</t>
  </si>
  <si>
    <t>total</t>
  </si>
  <si>
    <t>Loading dose over 30-45 minutes</t>
  </si>
  <si>
    <t>Prednislone - ORAL</t>
  </si>
  <si>
    <t>OD asthma, BD severe croup</t>
  </si>
  <si>
    <t>2.5 - 5.0 mg</t>
  </si>
  <si>
    <t>Resuscitation or metabolic acidosis</t>
  </si>
  <si>
    <t>Adrenaline infusion</t>
  </si>
  <si>
    <t>Noradrenaline infusion</t>
  </si>
  <si>
    <t>Joules/kg all shocks</t>
  </si>
  <si>
    <t>no reconstitution required</t>
  </si>
  <si>
    <t>Glucose / Dextrose (10%)</t>
  </si>
  <si>
    <t>WFI = water for injection, NS = Normal Saline, 5D = 5% Dextrose</t>
  </si>
  <si>
    <t>ml/hour</t>
  </si>
  <si>
    <t>micrograms/kg/minute</t>
  </si>
  <si>
    <t>0.3 mg/kg (=0.3 mls/kg of 1:1000) in 50mls NS</t>
  </si>
  <si>
    <t>Only calculates if age entered</t>
  </si>
  <si>
    <t>Biphasic or Monophasic</t>
  </si>
  <si>
    <t>Monophasic / Biphasic</t>
  </si>
  <si>
    <t>Resuscitation Fluid Bolus</t>
  </si>
  <si>
    <t>Shock</t>
  </si>
  <si>
    <t>French</t>
  </si>
  <si>
    <t>Intranasal or Buccal Midazolam</t>
  </si>
  <si>
    <t>VF or Pulseless VT (Cardiac arrest)</t>
  </si>
  <si>
    <t xml:space="preserve">Calculated Joules  </t>
  </si>
  <si>
    <t>Ketamine IM</t>
  </si>
  <si>
    <t>Ketamine IV</t>
  </si>
  <si>
    <t>bolus of 10mg/ml solution</t>
  </si>
  <si>
    <t>cms</t>
  </si>
  <si>
    <t>mms</t>
  </si>
  <si>
    <t>Estimated Internal diameter</t>
  </si>
  <si>
    <t>Estimated Length</t>
  </si>
  <si>
    <t>mgs</t>
  </si>
  <si>
    <t>Atropine (600mcgs/ml)</t>
  </si>
  <si>
    <t>none (100mcgs/mls)</t>
  </si>
  <si>
    <t>none (600mcgs/mls)</t>
  </si>
  <si>
    <t>bolus in emergency else dilute in NS or 5D</t>
  </si>
  <si>
    <t>mls/kg (max 4.5mmols=6.6mls)</t>
  </si>
  <si>
    <t>Calcium Chloride (10%=minijet)</t>
  </si>
  <si>
    <t>ml/kg (eq to 1 mmol/kg of 8.4%)</t>
  </si>
  <si>
    <t>no reconstitution required (400mcgs/ml)</t>
  </si>
  <si>
    <t>Atropine (minijet = 100mcgs/ml)</t>
  </si>
  <si>
    <t>Naloxone (minijet = 400mcgs/ml)</t>
  </si>
  <si>
    <t>preprepared as 2mg / mls (20mg in 10mls)</t>
  </si>
  <si>
    <t>Propofol 1%</t>
  </si>
  <si>
    <t>1% solution - 10mg in 1mls</t>
  </si>
  <si>
    <t>PLEASE CHECK ALL DOSES AND PREPARED DILUTIONS PRIOR TO ADMINISTRATION - THIS CHART IS NOT FAILSAFE!!</t>
  </si>
  <si>
    <t>Midazolam 0.5%</t>
  </si>
  <si>
    <t>Etomidate 0.2%</t>
  </si>
  <si>
    <t xml:space="preserve">Usually comes as 500 mcg/ml </t>
  </si>
  <si>
    <t xml:space="preserve">Usually comes as 5 mg/ml </t>
  </si>
  <si>
    <t>Fentanyl 0.05%</t>
  </si>
  <si>
    <t xml:space="preserve">Usually comes as 50 mg/ml </t>
  </si>
  <si>
    <t xml:space="preserve">Usually comes as 10 mg/ml </t>
  </si>
  <si>
    <t>10 mg powder in 10mls WFI</t>
  </si>
  <si>
    <t>Flumazenil - IV bolus over 15 secs</t>
  </si>
  <si>
    <t>Usually comes as 100 mcg/ml</t>
  </si>
  <si>
    <t>mls/kg of 10% (max 20 mls)</t>
  </si>
  <si>
    <t>Magnesium Sulphate 50%</t>
  </si>
  <si>
    <t>mg/kg (max 2g=4mls=8mmols)</t>
  </si>
  <si>
    <t>Flecanide - 1% (10 mg/ml)</t>
  </si>
  <si>
    <t>SVT - Dilute in 5D - Give over 10-30 mins</t>
  </si>
  <si>
    <t>SVT (not under 1 year) - Give over 2-3 mins</t>
  </si>
  <si>
    <t>mg/kg (max 5mg)</t>
  </si>
  <si>
    <t>Verapamil - 0.25% (2.5 mg/ml)</t>
  </si>
  <si>
    <t>Max: 300mcgs/kg if &lt;1 month, else 500mcgs/kg</t>
  </si>
  <si>
    <t>mg/kg (max 4mg)</t>
  </si>
  <si>
    <t>Phenytoin IV -5% (50 mg/ml)</t>
  </si>
  <si>
    <t>Gentamicin - IV</t>
  </si>
  <si>
    <r>
      <t xml:space="preserve">Max 50 </t>
    </r>
    <r>
      <rPr>
        <sz val="8"/>
        <rFont val="Symbol"/>
        <family val="1"/>
      </rPr>
      <t>m</t>
    </r>
    <r>
      <rPr>
        <sz val="8"/>
        <rFont val="Arial"/>
        <family val="0"/>
      </rPr>
      <t>gs in 1 ml, IV over 5 mins</t>
    </r>
  </si>
  <si>
    <t>mcgs</t>
  </si>
  <si>
    <t>mcgs/kg</t>
  </si>
  <si>
    <r>
      <t>Intravenous Magnesium SO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50%</t>
    </r>
  </si>
  <si>
    <t>Amoxycillin - IV</t>
  </si>
  <si>
    <t>TDS if over 7 days else BD</t>
  </si>
  <si>
    <t>Augmentin - IV</t>
  </si>
  <si>
    <t>mg/kg (max 12g daily)</t>
  </si>
  <si>
    <t>single dose (or 2-12 yrs=25-50g,&gt;12yrs=50g)</t>
  </si>
  <si>
    <t>units/hour</t>
  </si>
  <si>
    <t>4mls/kg/hr for first 10kg, 2mls/kg/hr for second 10kg, 1mls/kg/hr thereafter</t>
  </si>
  <si>
    <t>Maintenance Fluid Requirement</t>
  </si>
  <si>
    <t>Weight used for calculation</t>
  </si>
  <si>
    <t>For use in children over 1 month - If age &lt; 1 then enter weight not age</t>
  </si>
  <si>
    <t>Actual weight in kgs=</t>
  </si>
  <si>
    <r>
      <t xml:space="preserve">ENTER KNOWN WEIGHT </t>
    </r>
    <r>
      <rPr>
        <u val="single"/>
        <sz val="8"/>
        <color indexed="9"/>
        <rFont val="Arial"/>
        <family val="2"/>
      </rPr>
      <t>OR</t>
    </r>
    <r>
      <rPr>
        <sz val="8"/>
        <color indexed="9"/>
        <rFont val="Arial"/>
        <family val="2"/>
      </rPr>
      <t xml:space="preserve"> AGE IN ONE OF THE YELLOW BOXES, </t>
    </r>
    <r>
      <rPr>
        <u val="single"/>
        <sz val="8"/>
        <color indexed="9"/>
        <rFont val="Arial"/>
        <family val="2"/>
      </rPr>
      <t>CLEAR</t>
    </r>
    <r>
      <rPr>
        <sz val="8"/>
        <color indexed="9"/>
        <rFont val="Arial"/>
        <family val="2"/>
      </rPr>
      <t xml:space="preserve"> OTHER BOX AND </t>
    </r>
    <r>
      <rPr>
        <u val="single"/>
        <sz val="8"/>
        <color indexed="9"/>
        <rFont val="Arial"/>
        <family val="2"/>
      </rPr>
      <t>CLICK HERE</t>
    </r>
  </si>
  <si>
    <t>v.2007.7, designed by Dr Matt Reed 2007</t>
  </si>
  <si>
    <r>
      <t>OR</t>
    </r>
    <r>
      <rPr>
        <b/>
        <sz val="14"/>
        <rFont val="Arial"/>
        <family val="2"/>
      </rPr>
      <t xml:space="preserve"> Age in years (1-12)=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</si>
</sst>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[$-809]dd\ mmmm\ yyyy"/>
    <numFmt numFmtId="167" formatCode="#,##0_ ;\-#,##0\ "/>
    <numFmt numFmtId="168" formatCode="#,##0.0_ ;\-#,##0.0\ "/>
    <numFmt numFmtId="169" formatCode="#\ ?/2"/>
    <numFmt numFmtId="170" formatCode="#\ ?/4"/>
    <numFmt numFmtId="171" formatCode="0;[Red]0"/>
  </numFmts>
  <fonts count="23">
    <font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sz val="8"/>
      <name val="Symbol"/>
      <family val="1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8"/>
      <name val="Arial"/>
      <family val="2"/>
    </font>
    <font>
      <b/>
      <sz val="14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u val="single"/>
      <sz val="8"/>
      <color indexed="9"/>
      <name val="Arial"/>
      <family val="2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 vertical="center" indent="1"/>
      <protection/>
    </xf>
    <xf numFmtId="0" fontId="6" fillId="3" borderId="1" xfId="0" applyFont="1" applyFill="1" applyBorder="1" applyAlignment="1" applyProtection="1">
      <alignment horizontal="left" vertical="center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7" fillId="0" borderId="1" xfId="0" applyFont="1" applyBorder="1" applyAlignment="1" applyProtection="1">
      <alignment horizontal="left" vertical="center" inden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0" fontId="7" fillId="0" borderId="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left" vertical="center" indent="1"/>
      <protection/>
    </xf>
    <xf numFmtId="0" fontId="8" fillId="0" borderId="1" xfId="0" applyFont="1" applyFill="1" applyBorder="1" applyAlignment="1" applyProtection="1">
      <alignment horizontal="left" vertical="center" indent="1"/>
      <protection/>
    </xf>
    <xf numFmtId="9" fontId="2" fillId="0" borderId="1" xfId="0" applyNumberFormat="1" applyFont="1" applyBorder="1" applyAlignment="1" applyProtection="1">
      <alignment horizontal="left" vertical="center" indent="1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left" vertical="center" inden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left" vertical="center" indent="1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169" fontId="5" fillId="0" borderId="1" xfId="0" applyNumberFormat="1" applyFont="1" applyBorder="1" applyAlignment="1" applyProtection="1">
      <alignment horizontal="center" vertical="center"/>
      <protection/>
    </xf>
    <xf numFmtId="1" fontId="5" fillId="0" borderId="1" xfId="0" applyNumberFormat="1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left" vertical="center" indent="1"/>
      <protection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indent="1"/>
      <protection/>
    </xf>
    <xf numFmtId="0" fontId="16" fillId="0" borderId="0" xfId="0" applyFont="1" applyAlignment="1">
      <alignment/>
    </xf>
    <xf numFmtId="0" fontId="7" fillId="0" borderId="4" xfId="0" applyFont="1" applyFill="1" applyBorder="1" applyAlignment="1" applyProtection="1">
      <alignment horizontal="left" vertical="center"/>
      <protection/>
    </xf>
    <xf numFmtId="0" fontId="18" fillId="4" borderId="3" xfId="0" applyFont="1" applyFill="1" applyBorder="1" applyAlignment="1" applyProtection="1">
      <alignment horizontal="center"/>
      <protection/>
    </xf>
    <xf numFmtId="0" fontId="22" fillId="4" borderId="2" xfId="0" applyFont="1" applyFill="1" applyBorder="1" applyAlignment="1" applyProtection="1">
      <alignment horizontal="center"/>
      <protection/>
    </xf>
    <xf numFmtId="0" fontId="15" fillId="4" borderId="3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0" fillId="2" borderId="6" xfId="0" applyFont="1" applyFill="1" applyBorder="1" applyAlignment="1" applyProtection="1">
      <alignment horizontal="center" vertical="center"/>
      <protection/>
    </xf>
    <xf numFmtId="0" fontId="19" fillId="2" borderId="7" xfId="0" applyFont="1" applyFill="1" applyBorder="1" applyAlignment="1" applyProtection="1">
      <alignment horizontal="center" vertical="center"/>
      <protection/>
    </xf>
    <xf numFmtId="0" fontId="19" fillId="2" borderId="8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7" fillId="6" borderId="2" xfId="0" applyNumberFormat="1" applyFont="1" applyFill="1" applyBorder="1" applyAlignment="1" applyProtection="1">
      <alignment horizontal="center" vertical="center"/>
      <protection/>
    </xf>
    <xf numFmtId="0" fontId="7" fillId="6" borderId="5" xfId="0" applyNumberFormat="1" applyFont="1" applyFill="1" applyBorder="1" applyAlignment="1" applyProtection="1">
      <alignment horizontal="center" vertical="center"/>
      <protection/>
    </xf>
    <xf numFmtId="0" fontId="7" fillId="6" borderId="3" xfId="0" applyNumberFormat="1" applyFont="1" applyFill="1" applyBorder="1" applyAlignment="1" applyProtection="1">
      <alignment horizontal="center" vertic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5" xfId="0" applyNumberFormat="1" applyFont="1" applyFill="1" applyBorder="1" applyAlignment="1" applyProtection="1">
      <alignment horizontal="center"/>
      <protection locked="0"/>
    </xf>
    <xf numFmtId="1" fontId="4" fillId="7" borderId="3" xfId="0" applyNumberFormat="1" applyFont="1" applyFill="1" applyBorder="1" applyAlignment="1" applyProtection="1">
      <alignment horizontal="center"/>
      <protection locked="0"/>
    </xf>
    <xf numFmtId="167" fontId="4" fillId="0" borderId="1" xfId="17" applyNumberFormat="1" applyFont="1" applyBorder="1" applyAlignment="1" applyProtection="1">
      <alignment horizontal="center"/>
      <protection/>
    </xf>
    <xf numFmtId="44" fontId="15" fillId="0" borderId="2" xfId="17" applyFont="1" applyBorder="1" applyAlignment="1" applyProtection="1">
      <alignment horizontal="center"/>
      <protection/>
    </xf>
    <xf numFmtId="44" fontId="3" fillId="0" borderId="3" xfId="17" applyFont="1" applyBorder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4" borderId="3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3" fontId="4" fillId="7" borderId="2" xfId="17" applyNumberFormat="1" applyFont="1" applyFill="1" applyBorder="1" applyAlignment="1" applyProtection="1">
      <alignment horizontal="center"/>
      <protection locked="0"/>
    </xf>
    <xf numFmtId="3" fontId="4" fillId="7" borderId="5" xfId="17" applyNumberFormat="1" applyFont="1" applyFill="1" applyBorder="1" applyAlignment="1" applyProtection="1">
      <alignment horizontal="center"/>
      <protection locked="0"/>
    </xf>
    <xf numFmtId="3" fontId="4" fillId="7" borderId="3" xfId="17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F3" sqref="F3:G3"/>
    </sheetView>
  </sheetViews>
  <sheetFormatPr defaultColWidth="9.140625" defaultRowHeight="12.75"/>
  <cols>
    <col min="1" max="1" width="28.8515625" style="0" customWidth="1"/>
    <col min="2" max="2" width="34.421875" style="0" customWidth="1"/>
    <col min="3" max="3" width="9.7109375" style="0" customWidth="1"/>
    <col min="4" max="4" width="23.421875" style="0" customWidth="1"/>
    <col min="5" max="5" width="9.421875" style="0" customWidth="1"/>
    <col min="6" max="6" width="5.57421875" style="0" customWidth="1"/>
    <col min="7" max="7" width="4.8515625" style="0" customWidth="1"/>
    <col min="8" max="8" width="6.57421875" style="0" customWidth="1"/>
  </cols>
  <sheetData>
    <row r="1" spans="1:10" ht="23.25">
      <c r="A1" s="79" t="s">
        <v>50</v>
      </c>
      <c r="B1" s="80"/>
      <c r="C1" s="81"/>
      <c r="D1" s="66" t="s">
        <v>182</v>
      </c>
      <c r="E1" s="43"/>
      <c r="F1" s="67" t="s">
        <v>49</v>
      </c>
      <c r="G1" s="68"/>
      <c r="H1" s="69"/>
      <c r="J1" s="19"/>
    </row>
    <row r="2" spans="1:10" ht="23.25">
      <c r="A2" s="75" t="s">
        <v>181</v>
      </c>
      <c r="B2" s="76"/>
      <c r="C2" s="77"/>
      <c r="D2" s="44" t="s">
        <v>185</v>
      </c>
      <c r="E2" s="45"/>
      <c r="F2" s="86">
        <v>5</v>
      </c>
      <c r="G2" s="87"/>
      <c r="H2" s="88"/>
      <c r="I2" s="46" t="b">
        <f>AND(F1&gt;-1,F1&lt;100,F2&gt;-1,F2&lt;100)</f>
        <v>0</v>
      </c>
      <c r="J2" s="19"/>
    </row>
    <row r="3" spans="1:10" ht="23.25">
      <c r="A3" s="57" t="s">
        <v>183</v>
      </c>
      <c r="B3" s="58"/>
      <c r="C3" s="59"/>
      <c r="D3" s="71" t="s">
        <v>180</v>
      </c>
      <c r="E3" s="72"/>
      <c r="F3" s="70">
        <f>IF(I2=TRUE,"Err",IF(I3=TRUE,F1,IF(F2&lt;1,"Err",IF(F2&gt;12,"Err",((F2+4)*2)))))</f>
        <v>18</v>
      </c>
      <c r="G3" s="70"/>
      <c r="H3" s="20" t="s">
        <v>51</v>
      </c>
      <c r="I3" s="46" t="b">
        <f>AND(F1&lt;100,F1&gt;0)</f>
        <v>0</v>
      </c>
      <c r="J3" s="19"/>
    </row>
    <row r="4" spans="1:8" ht="12.75">
      <c r="A4" s="2" t="s">
        <v>7</v>
      </c>
      <c r="B4" s="3" t="s">
        <v>8</v>
      </c>
      <c r="C4" s="56" t="s">
        <v>20</v>
      </c>
      <c r="D4" s="56"/>
      <c r="E4" s="56" t="s">
        <v>123</v>
      </c>
      <c r="F4" s="56"/>
      <c r="G4" s="56"/>
      <c r="H4" s="56"/>
    </row>
    <row r="5" spans="1:8" ht="12.75">
      <c r="A5" s="4" t="s">
        <v>116</v>
      </c>
      <c r="B5" s="13" t="s">
        <v>122</v>
      </c>
      <c r="C5" s="6">
        <v>4</v>
      </c>
      <c r="D5" s="6" t="s">
        <v>108</v>
      </c>
      <c r="E5" s="7">
        <f>IF(F3&lt;=2,7,IF(F3&lt;3,10,IF(F3&lt;=5,20,IF(F3&lt;8,30,IF(F3&lt;13,50,IF(F3&lt;18,70,IF(F3&lt;=25,100,IF(F3&lt;38,150,200))))))))</f>
        <v>100</v>
      </c>
      <c r="F5" s="53" t="s">
        <v>20</v>
      </c>
      <c r="G5" s="62"/>
      <c r="H5" s="54"/>
    </row>
    <row r="6" spans="1:8" ht="12.75">
      <c r="A6" s="4" t="s">
        <v>117</v>
      </c>
      <c r="B6" s="13" t="s">
        <v>19</v>
      </c>
      <c r="C6" s="6">
        <v>0.5</v>
      </c>
      <c r="D6" s="6" t="s">
        <v>17</v>
      </c>
      <c r="E6" s="7">
        <f>IF(F3&lt;1,0,IF(F3&lt;=4,2,IF(F3&lt;=6,3,IF(F3&lt;=10,5,IF(F3&lt;=14,7,IF(F3&lt;=20,10,IF(F3&lt;=40,20,IF(F3&lt;=60,30,50))))))))</f>
        <v>10</v>
      </c>
      <c r="F6" s="53" t="s">
        <v>20</v>
      </c>
      <c r="G6" s="62"/>
      <c r="H6" s="54"/>
    </row>
    <row r="7" spans="1:8" ht="12.75">
      <c r="A7" s="4" t="s">
        <v>117</v>
      </c>
      <c r="B7" s="13" t="s">
        <v>19</v>
      </c>
      <c r="C7" s="6">
        <v>1</v>
      </c>
      <c r="D7" s="6" t="s">
        <v>16</v>
      </c>
      <c r="E7" s="7">
        <f>IF(F3&lt;=2,2,IF(F3&lt;=3,3,IF(F3&lt;=5,5,IF(F3&lt;=7,7,IF(F3&lt;=10,10,IF(F3&lt;=20,20,IF(F3&lt;=30,30,IF(F3&lt;=50,50,100))))))))</f>
        <v>20</v>
      </c>
      <c r="F7" s="53" t="s">
        <v>20</v>
      </c>
      <c r="G7" s="62"/>
      <c r="H7" s="54"/>
    </row>
    <row r="8" spans="1:8" ht="12.75">
      <c r="A8" s="4" t="s">
        <v>117</v>
      </c>
      <c r="B8" s="13" t="s">
        <v>19</v>
      </c>
      <c r="C8" s="9">
        <v>2</v>
      </c>
      <c r="D8" s="6" t="s">
        <v>18</v>
      </c>
      <c r="E8" s="7">
        <f>IF(F3=1,2,IF(F3&lt;3,5,IF(F3&lt;4,7,IF(F3&lt;=5,10,IF(F3&lt;=10,20,IF(F3&lt;=15,30,IF(F3&lt;=25,50,IF(F3&lt;=35,70,100))))))))</f>
        <v>50</v>
      </c>
      <c r="F8" s="53" t="s">
        <v>20</v>
      </c>
      <c r="G8" s="62"/>
      <c r="H8" s="54"/>
    </row>
    <row r="9" spans="1:8" ht="12.75">
      <c r="A9" s="10" t="s">
        <v>15</v>
      </c>
      <c r="B9" s="73" t="s">
        <v>115</v>
      </c>
      <c r="C9" s="74"/>
      <c r="D9" s="14" t="s">
        <v>129</v>
      </c>
      <c r="E9" s="34">
        <f>(F2/4)+4</f>
        <v>5.25</v>
      </c>
      <c r="F9" s="53" t="s">
        <v>128</v>
      </c>
      <c r="G9" s="62"/>
      <c r="H9" s="54"/>
    </row>
    <row r="10" spans="1:8" ht="12.75">
      <c r="A10" s="10" t="s">
        <v>15</v>
      </c>
      <c r="B10" s="73" t="s">
        <v>115</v>
      </c>
      <c r="C10" s="74"/>
      <c r="D10" s="6" t="s">
        <v>130</v>
      </c>
      <c r="E10" s="35">
        <f>(F2/4)+12</f>
        <v>13.25</v>
      </c>
      <c r="F10" s="53" t="s">
        <v>127</v>
      </c>
      <c r="G10" s="62"/>
      <c r="H10" s="54"/>
    </row>
    <row r="11" spans="1:8" ht="12.75">
      <c r="A11" s="10" t="s">
        <v>118</v>
      </c>
      <c r="B11" s="29" t="s">
        <v>119</v>
      </c>
      <c r="C11" s="6">
        <v>20</v>
      </c>
      <c r="D11" s="6" t="s">
        <v>32</v>
      </c>
      <c r="E11" s="7">
        <f>C11*F3</f>
        <v>360</v>
      </c>
      <c r="F11" s="3" t="s">
        <v>1</v>
      </c>
      <c r="G11" s="60"/>
      <c r="H11" s="61"/>
    </row>
    <row r="12" spans="1:8" ht="12.75">
      <c r="A12" s="10" t="s">
        <v>179</v>
      </c>
      <c r="B12" s="63" t="s">
        <v>178</v>
      </c>
      <c r="C12" s="64"/>
      <c r="D12" s="65"/>
      <c r="E12" s="28">
        <f>IF(F3&lt;11,F3*4,IF(F3&lt;21,40+(F3-10)*2,IF(F3&gt;20,60+(F3-20))))</f>
        <v>56</v>
      </c>
      <c r="F12" s="53" t="s">
        <v>44</v>
      </c>
      <c r="G12" s="62"/>
      <c r="H12" s="54"/>
    </row>
    <row r="13" spans="1:8" ht="12.75">
      <c r="A13" s="10" t="s">
        <v>43</v>
      </c>
      <c r="B13" s="73"/>
      <c r="C13" s="78"/>
      <c r="D13" s="74"/>
      <c r="E13" s="28">
        <f>IF(F3&gt;40,12,IF(F3&gt;20,10,IF(F3&gt;12,8,IF(F3&gt;3,6,5))))</f>
        <v>8</v>
      </c>
      <c r="F13" s="53" t="s">
        <v>120</v>
      </c>
      <c r="G13" s="62"/>
      <c r="H13" s="54"/>
    </row>
    <row r="14" spans="1:8" ht="12.75">
      <c r="A14" s="1" t="s">
        <v>12</v>
      </c>
      <c r="B14" s="3" t="s">
        <v>0</v>
      </c>
      <c r="C14" s="56" t="s">
        <v>67</v>
      </c>
      <c r="D14" s="56"/>
      <c r="E14" s="56" t="s">
        <v>9</v>
      </c>
      <c r="F14" s="56"/>
      <c r="G14" s="56"/>
      <c r="H14" s="56"/>
    </row>
    <row r="15" spans="1:8" ht="12.75">
      <c r="A15" s="4" t="s">
        <v>52</v>
      </c>
      <c r="B15" s="6" t="s">
        <v>30</v>
      </c>
      <c r="C15" s="6">
        <v>0.01</v>
      </c>
      <c r="D15" s="6" t="s">
        <v>3</v>
      </c>
      <c r="E15" s="7">
        <f>0.1*F3</f>
        <v>1.8</v>
      </c>
      <c r="F15" s="3" t="s">
        <v>56</v>
      </c>
      <c r="G15" s="7">
        <f>C15*F3</f>
        <v>0.18</v>
      </c>
      <c r="H15" s="3" t="s">
        <v>131</v>
      </c>
    </row>
    <row r="16" spans="1:8" ht="12.75">
      <c r="A16" s="4" t="s">
        <v>132</v>
      </c>
      <c r="B16" s="6" t="s">
        <v>134</v>
      </c>
      <c r="C16" s="6">
        <v>0.02</v>
      </c>
      <c r="D16" s="6" t="s">
        <v>66</v>
      </c>
      <c r="E16" s="36">
        <f>G16/0.6</f>
        <v>0.6</v>
      </c>
      <c r="F16" s="32" t="s">
        <v>56</v>
      </c>
      <c r="G16" s="7">
        <f>IF(F3&gt;29,600,IF(F3&lt;5,100,C16*F3))</f>
        <v>0.36</v>
      </c>
      <c r="H16" s="32" t="s">
        <v>131</v>
      </c>
    </row>
    <row r="17" spans="1:8" ht="12.75">
      <c r="A17" s="4" t="s">
        <v>140</v>
      </c>
      <c r="B17" s="6" t="s">
        <v>133</v>
      </c>
      <c r="C17" s="6">
        <v>0.02</v>
      </c>
      <c r="D17" s="6" t="s">
        <v>66</v>
      </c>
      <c r="E17" s="7">
        <f>G17/0.1</f>
        <v>3.5999999999999996</v>
      </c>
      <c r="F17" s="32" t="s">
        <v>56</v>
      </c>
      <c r="G17" s="7">
        <f>IF(F3&gt;29,600,IF(F3&lt;5,100,C16*F3))</f>
        <v>0.36</v>
      </c>
      <c r="H17" s="32" t="s">
        <v>131</v>
      </c>
    </row>
    <row r="18" spans="1:8" ht="12.75">
      <c r="A18" s="4" t="s">
        <v>137</v>
      </c>
      <c r="B18" s="6" t="s">
        <v>135</v>
      </c>
      <c r="C18" s="6">
        <v>0.25</v>
      </c>
      <c r="D18" s="6" t="s">
        <v>136</v>
      </c>
      <c r="E18" s="51">
        <f>C18*F3</f>
        <v>4.5</v>
      </c>
      <c r="F18" s="52"/>
      <c r="G18" s="53" t="s">
        <v>56</v>
      </c>
      <c r="H18" s="54"/>
    </row>
    <row r="19" spans="1:8" ht="12.75">
      <c r="A19" s="8" t="s">
        <v>13</v>
      </c>
      <c r="B19" s="6" t="s">
        <v>105</v>
      </c>
      <c r="C19" s="6">
        <v>1</v>
      </c>
      <c r="D19" s="6" t="s">
        <v>138</v>
      </c>
      <c r="E19" s="51">
        <f>C19*F3</f>
        <v>18</v>
      </c>
      <c r="F19" s="52"/>
      <c r="G19" s="53" t="s">
        <v>56</v>
      </c>
      <c r="H19" s="54"/>
    </row>
    <row r="20" spans="1:8" ht="12.75">
      <c r="A20" s="8" t="s">
        <v>21</v>
      </c>
      <c r="B20" s="6" t="s">
        <v>64</v>
      </c>
      <c r="C20" s="6">
        <v>5</v>
      </c>
      <c r="D20" s="6" t="s">
        <v>65</v>
      </c>
      <c r="E20" s="47">
        <f>IF(F3&gt;59,300,5*F3)</f>
        <v>90</v>
      </c>
      <c r="F20" s="48"/>
      <c r="G20" s="53" t="s">
        <v>4</v>
      </c>
      <c r="H20" s="54"/>
    </row>
    <row r="21" spans="1:8" ht="12.75">
      <c r="A21" s="8" t="s">
        <v>141</v>
      </c>
      <c r="B21" s="18" t="s">
        <v>139</v>
      </c>
      <c r="C21" s="6">
        <v>0.01</v>
      </c>
      <c r="D21" s="6" t="s">
        <v>3</v>
      </c>
      <c r="E21" s="7">
        <f>(G21/0.4)</f>
        <v>0.44999999999999996</v>
      </c>
      <c r="F21" s="3" t="s">
        <v>1</v>
      </c>
      <c r="G21" s="7">
        <f>F3*C21</f>
        <v>0.18</v>
      </c>
      <c r="H21" s="3" t="s">
        <v>4</v>
      </c>
    </row>
    <row r="22" spans="1:8" ht="12.75">
      <c r="A22" s="4" t="s">
        <v>110</v>
      </c>
      <c r="B22" s="18" t="s">
        <v>109</v>
      </c>
      <c r="C22" s="6">
        <v>5</v>
      </c>
      <c r="D22" s="6" t="s">
        <v>32</v>
      </c>
      <c r="E22" s="47">
        <f>C22*F3</f>
        <v>90</v>
      </c>
      <c r="F22" s="48"/>
      <c r="G22" s="53" t="s">
        <v>56</v>
      </c>
      <c r="H22" s="54"/>
    </row>
    <row r="23" spans="1:8" ht="12.75">
      <c r="A23" s="8" t="s">
        <v>106</v>
      </c>
      <c r="B23" s="21" t="s">
        <v>114</v>
      </c>
      <c r="C23" s="29">
        <v>0.1</v>
      </c>
      <c r="D23" s="29" t="s">
        <v>113</v>
      </c>
      <c r="E23" s="47">
        <v>1</v>
      </c>
      <c r="F23" s="48"/>
      <c r="G23" s="49" t="s">
        <v>112</v>
      </c>
      <c r="H23" s="50"/>
    </row>
    <row r="24" spans="1:8" ht="12.75">
      <c r="A24" s="4" t="s">
        <v>107</v>
      </c>
      <c r="B24" s="21" t="s">
        <v>114</v>
      </c>
      <c r="C24" s="29">
        <v>0.1</v>
      </c>
      <c r="D24" s="29" t="s">
        <v>113</v>
      </c>
      <c r="E24" s="47">
        <v>1</v>
      </c>
      <c r="F24" s="48"/>
      <c r="G24" s="49" t="s">
        <v>112</v>
      </c>
      <c r="H24" s="50"/>
    </row>
    <row r="25" spans="1:8" ht="12.75">
      <c r="A25" s="1" t="s">
        <v>14</v>
      </c>
      <c r="B25" s="3" t="s">
        <v>0</v>
      </c>
      <c r="C25" s="56" t="s">
        <v>67</v>
      </c>
      <c r="D25" s="56"/>
      <c r="E25" s="56" t="s">
        <v>9</v>
      </c>
      <c r="F25" s="56"/>
      <c r="G25" s="56"/>
      <c r="H25" s="56"/>
    </row>
    <row r="26" spans="1:8" ht="12.75">
      <c r="A26" s="4" t="s">
        <v>39</v>
      </c>
      <c r="B26" s="6" t="s">
        <v>38</v>
      </c>
      <c r="C26" s="6">
        <v>0.1</v>
      </c>
      <c r="D26" s="6" t="s">
        <v>3</v>
      </c>
      <c r="E26" s="7">
        <f>C26*F3</f>
        <v>1.8</v>
      </c>
      <c r="F26" s="3" t="s">
        <v>1</v>
      </c>
      <c r="G26" s="7">
        <f>C26*F3</f>
        <v>1.8</v>
      </c>
      <c r="H26" s="3" t="s">
        <v>4</v>
      </c>
    </row>
    <row r="27" spans="1:8" ht="12.75">
      <c r="A27" s="11" t="s">
        <v>22</v>
      </c>
      <c r="B27" s="6" t="s">
        <v>80</v>
      </c>
      <c r="C27" s="6">
        <v>0.1</v>
      </c>
      <c r="D27" s="6" t="s">
        <v>3</v>
      </c>
      <c r="E27" s="7">
        <v>0.2</v>
      </c>
      <c r="F27" s="3" t="s">
        <v>1</v>
      </c>
      <c r="G27" s="7">
        <f>C27*F3</f>
        <v>1.8</v>
      </c>
      <c r="H27" s="3" t="s">
        <v>4</v>
      </c>
    </row>
    <row r="28" spans="1:8" ht="12.75">
      <c r="A28" s="11" t="s">
        <v>98</v>
      </c>
      <c r="B28" s="6" t="s">
        <v>97</v>
      </c>
      <c r="C28" s="6">
        <v>20</v>
      </c>
      <c r="D28" s="6" t="s">
        <v>3</v>
      </c>
      <c r="E28" s="51">
        <f>C28*F3</f>
        <v>360</v>
      </c>
      <c r="F28" s="55"/>
      <c r="G28" s="52"/>
      <c r="H28" s="3" t="s">
        <v>4</v>
      </c>
    </row>
    <row r="29" spans="1:8" ht="12.75">
      <c r="A29" s="11" t="s">
        <v>23</v>
      </c>
      <c r="B29" s="6" t="s">
        <v>89</v>
      </c>
      <c r="C29" s="6">
        <v>5</v>
      </c>
      <c r="D29" s="6" t="s">
        <v>3</v>
      </c>
      <c r="E29" s="51">
        <f>C29*F3</f>
        <v>90</v>
      </c>
      <c r="F29" s="55"/>
      <c r="G29" s="52"/>
      <c r="H29" s="3" t="s">
        <v>4</v>
      </c>
    </row>
    <row r="30" spans="1:8" ht="12.75">
      <c r="A30" s="11" t="s">
        <v>82</v>
      </c>
      <c r="B30" s="24"/>
      <c r="C30" s="6">
        <v>1</v>
      </c>
      <c r="D30" s="6" t="s">
        <v>3</v>
      </c>
      <c r="E30" s="51">
        <f>C30*F3</f>
        <v>18</v>
      </c>
      <c r="F30" s="55"/>
      <c r="G30" s="52"/>
      <c r="H30" s="3" t="s">
        <v>4</v>
      </c>
    </row>
    <row r="31" spans="1:8" ht="12.75">
      <c r="A31" s="11" t="s">
        <v>76</v>
      </c>
      <c r="B31" s="24"/>
      <c r="C31" s="6">
        <v>1</v>
      </c>
      <c r="D31" s="6" t="s">
        <v>3</v>
      </c>
      <c r="E31" s="47">
        <f>F3*C31</f>
        <v>18</v>
      </c>
      <c r="F31" s="82"/>
      <c r="G31" s="48"/>
      <c r="H31" s="3" t="s">
        <v>4</v>
      </c>
    </row>
    <row r="32" spans="1:8" ht="12.75">
      <c r="A32" s="1" t="s">
        <v>10</v>
      </c>
      <c r="B32" s="3" t="s">
        <v>0</v>
      </c>
      <c r="C32" s="56" t="s">
        <v>67</v>
      </c>
      <c r="D32" s="56"/>
      <c r="E32" s="56" t="s">
        <v>9</v>
      </c>
      <c r="F32" s="56"/>
      <c r="G32" s="56"/>
      <c r="H32" s="56"/>
    </row>
    <row r="33" spans="1:8" ht="12.75">
      <c r="A33" s="4" t="s">
        <v>6</v>
      </c>
      <c r="B33" s="6" t="s">
        <v>31</v>
      </c>
      <c r="C33" s="6">
        <v>5</v>
      </c>
      <c r="D33" s="15" t="s">
        <v>3</v>
      </c>
      <c r="E33" s="7">
        <f>(G33/500)*20</f>
        <v>3.5999999999999996</v>
      </c>
      <c r="F33" s="3" t="s">
        <v>1</v>
      </c>
      <c r="G33" s="7">
        <f>F3*C33</f>
        <v>90</v>
      </c>
      <c r="H33" s="3" t="s">
        <v>4</v>
      </c>
    </row>
    <row r="34" spans="1:8" ht="12.75">
      <c r="A34" s="4" t="s">
        <v>147</v>
      </c>
      <c r="B34" s="29" t="s">
        <v>142</v>
      </c>
      <c r="C34" s="6">
        <v>0.2</v>
      </c>
      <c r="D34" s="15" t="s">
        <v>3</v>
      </c>
      <c r="E34" s="7">
        <f>(G34/2)</f>
        <v>1.8</v>
      </c>
      <c r="F34" s="3" t="s">
        <v>1</v>
      </c>
      <c r="G34" s="7">
        <f>F3*C34</f>
        <v>3.6</v>
      </c>
      <c r="H34" s="3" t="s">
        <v>4</v>
      </c>
    </row>
    <row r="35" spans="1:8" ht="12.75">
      <c r="A35" s="4" t="s">
        <v>143</v>
      </c>
      <c r="B35" s="29" t="s">
        <v>144</v>
      </c>
      <c r="C35" s="6">
        <v>2</v>
      </c>
      <c r="D35" s="15" t="s">
        <v>3</v>
      </c>
      <c r="E35" s="7">
        <f>(G35/10)</f>
        <v>3.6</v>
      </c>
      <c r="F35" s="3" t="s">
        <v>1</v>
      </c>
      <c r="G35" s="7">
        <f>F3*C35</f>
        <v>36</v>
      </c>
      <c r="H35" s="3" t="s">
        <v>4</v>
      </c>
    </row>
    <row r="36" spans="1:8" ht="12.75">
      <c r="A36" s="4" t="s">
        <v>146</v>
      </c>
      <c r="B36" s="29" t="s">
        <v>149</v>
      </c>
      <c r="C36" s="6">
        <v>0.2</v>
      </c>
      <c r="D36" s="15" t="s">
        <v>3</v>
      </c>
      <c r="E36" s="7">
        <f>(G36/5)</f>
        <v>0.72</v>
      </c>
      <c r="F36" s="3" t="s">
        <v>1</v>
      </c>
      <c r="G36" s="7">
        <f>F3*C36</f>
        <v>3.6</v>
      </c>
      <c r="H36" s="3" t="s">
        <v>4</v>
      </c>
    </row>
    <row r="37" spans="1:8" ht="12.75">
      <c r="A37" s="4" t="s">
        <v>150</v>
      </c>
      <c r="B37" s="29" t="s">
        <v>148</v>
      </c>
      <c r="C37" s="6">
        <v>0.02</v>
      </c>
      <c r="D37" s="15" t="s">
        <v>3</v>
      </c>
      <c r="E37" s="7">
        <f>(G37/0.5)</f>
        <v>0.72</v>
      </c>
      <c r="F37" s="3" t="s">
        <v>1</v>
      </c>
      <c r="G37" s="7">
        <f>F3*C37</f>
        <v>0.36</v>
      </c>
      <c r="H37" s="3" t="s">
        <v>4</v>
      </c>
    </row>
    <row r="38" spans="1:8" ht="12.75">
      <c r="A38" s="4" t="s">
        <v>2</v>
      </c>
      <c r="B38" s="29" t="s">
        <v>151</v>
      </c>
      <c r="C38" s="6">
        <v>2</v>
      </c>
      <c r="D38" s="15" t="s">
        <v>3</v>
      </c>
      <c r="E38" s="7">
        <f>(G38/50)</f>
        <v>0.72</v>
      </c>
      <c r="F38" s="3" t="s">
        <v>1</v>
      </c>
      <c r="G38" s="7">
        <f>F3*C38</f>
        <v>36</v>
      </c>
      <c r="H38" s="3" t="s">
        <v>4</v>
      </c>
    </row>
    <row r="39" spans="1:8" ht="12.75">
      <c r="A39" s="4" t="s">
        <v>11</v>
      </c>
      <c r="B39" s="29" t="s">
        <v>152</v>
      </c>
      <c r="C39" s="6">
        <v>0.5</v>
      </c>
      <c r="D39" s="15" t="s">
        <v>3</v>
      </c>
      <c r="E39" s="7">
        <f>(G39/10)</f>
        <v>0.9</v>
      </c>
      <c r="F39" s="3" t="s">
        <v>1</v>
      </c>
      <c r="G39" s="7">
        <f>F3*C39</f>
        <v>9</v>
      </c>
      <c r="H39" s="3" t="s">
        <v>4</v>
      </c>
    </row>
    <row r="40" spans="1:8" ht="12.75">
      <c r="A40" s="4" t="s">
        <v>5</v>
      </c>
      <c r="B40" s="29" t="s">
        <v>153</v>
      </c>
      <c r="C40" s="6">
        <v>0.1</v>
      </c>
      <c r="D40" s="15" t="s">
        <v>3</v>
      </c>
      <c r="E40" s="7">
        <f>(G40)</f>
        <v>1.8</v>
      </c>
      <c r="F40" s="3" t="s">
        <v>1</v>
      </c>
      <c r="G40" s="7">
        <f>F3*C40</f>
        <v>1.8</v>
      </c>
      <c r="H40" s="3" t="s">
        <v>4</v>
      </c>
    </row>
    <row r="41" spans="1:8" ht="12.75">
      <c r="A41" s="4" t="s">
        <v>154</v>
      </c>
      <c r="B41" s="27" t="s">
        <v>155</v>
      </c>
      <c r="C41" s="15">
        <v>0.01</v>
      </c>
      <c r="D41" s="15" t="s">
        <v>3</v>
      </c>
      <c r="E41" s="7">
        <f>G41/0.1</f>
        <v>1.7999999999999998</v>
      </c>
      <c r="F41" s="3" t="s">
        <v>1</v>
      </c>
      <c r="G41" s="7">
        <f>IF(F3&gt;20,0.2,F3*C41)</f>
        <v>0.18</v>
      </c>
      <c r="H41" s="3" t="s">
        <v>4</v>
      </c>
    </row>
    <row r="42" spans="1:8" ht="12.75">
      <c r="A42" s="11" t="s">
        <v>124</v>
      </c>
      <c r="B42" s="6" t="s">
        <v>126</v>
      </c>
      <c r="C42" s="6">
        <v>2</v>
      </c>
      <c r="D42" s="6" t="s">
        <v>3</v>
      </c>
      <c r="E42" s="30">
        <f>G42/10</f>
        <v>3.6</v>
      </c>
      <c r="F42" s="3" t="s">
        <v>1</v>
      </c>
      <c r="G42" s="31">
        <f>F3*C42</f>
        <v>36</v>
      </c>
      <c r="H42" s="3" t="s">
        <v>4</v>
      </c>
    </row>
    <row r="43" spans="1:8" ht="12.75">
      <c r="A43" s="11" t="s">
        <v>125</v>
      </c>
      <c r="B43" s="6" t="s">
        <v>126</v>
      </c>
      <c r="C43" s="6">
        <v>1</v>
      </c>
      <c r="D43" s="6" t="s">
        <v>3</v>
      </c>
      <c r="E43" s="7">
        <f>G43/10</f>
        <v>1.8</v>
      </c>
      <c r="F43" s="3" t="s">
        <v>1</v>
      </c>
      <c r="G43" s="7">
        <f>F3*C43</f>
        <v>18</v>
      </c>
      <c r="H43" s="3" t="s">
        <v>4</v>
      </c>
    </row>
    <row r="44" spans="1:8" ht="12.75">
      <c r="A44" s="1" t="s">
        <v>24</v>
      </c>
      <c r="B44" s="3" t="s">
        <v>0</v>
      </c>
      <c r="C44" s="56" t="s">
        <v>67</v>
      </c>
      <c r="D44" s="56"/>
      <c r="E44" s="56" t="s">
        <v>9</v>
      </c>
      <c r="F44" s="56"/>
      <c r="G44" s="56"/>
      <c r="H44" s="56"/>
    </row>
    <row r="45" spans="1:8" ht="12.75">
      <c r="A45" s="4" t="s">
        <v>40</v>
      </c>
      <c r="B45" s="6" t="s">
        <v>135</v>
      </c>
      <c r="C45" s="15">
        <v>0.3</v>
      </c>
      <c r="D45" s="15" t="s">
        <v>156</v>
      </c>
      <c r="E45" s="51">
        <f>IF(F3&gt;66,20,C45*F3)</f>
        <v>5.3999999999999995</v>
      </c>
      <c r="F45" s="52"/>
      <c r="G45" s="49" t="s">
        <v>56</v>
      </c>
      <c r="H45" s="48"/>
    </row>
    <row r="46" spans="1:8" ht="12.75">
      <c r="A46" s="4" t="s">
        <v>157</v>
      </c>
      <c r="B46" s="6" t="s">
        <v>135</v>
      </c>
      <c r="C46" s="15">
        <v>25</v>
      </c>
      <c r="D46" s="15" t="s">
        <v>158</v>
      </c>
      <c r="E46" s="16">
        <f>(G46/5000)*10</f>
        <v>0.8999999999999999</v>
      </c>
      <c r="F46" s="33" t="s">
        <v>56</v>
      </c>
      <c r="G46" s="7">
        <f>IF(F3&gt;80,2000,F3*C46)</f>
        <v>450</v>
      </c>
      <c r="H46" s="3" t="s">
        <v>131</v>
      </c>
    </row>
    <row r="47" spans="1:8" ht="12.75">
      <c r="A47" s="4" t="s">
        <v>159</v>
      </c>
      <c r="B47" s="6" t="s">
        <v>160</v>
      </c>
      <c r="C47" s="15">
        <v>2</v>
      </c>
      <c r="D47" s="15" t="s">
        <v>3</v>
      </c>
      <c r="E47" s="16">
        <f>(G47/10)</f>
        <v>3.6</v>
      </c>
      <c r="F47" s="33" t="s">
        <v>56</v>
      </c>
      <c r="G47" s="7">
        <f>IF(F3&gt;75,150,F3*C47)</f>
        <v>36</v>
      </c>
      <c r="H47" s="3" t="s">
        <v>4</v>
      </c>
    </row>
    <row r="48" spans="1:8" ht="12.75">
      <c r="A48" s="4" t="s">
        <v>163</v>
      </c>
      <c r="B48" s="6" t="s">
        <v>161</v>
      </c>
      <c r="C48" s="15">
        <v>0.1</v>
      </c>
      <c r="D48" s="15" t="s">
        <v>162</v>
      </c>
      <c r="E48" s="16">
        <f>(G48/2.5)</f>
        <v>0.72</v>
      </c>
      <c r="F48" s="33" t="s">
        <v>56</v>
      </c>
      <c r="G48" s="7">
        <f>IF(F3&gt;50,5,F3*C48)</f>
        <v>1.8</v>
      </c>
      <c r="H48" s="3" t="s">
        <v>4</v>
      </c>
    </row>
    <row r="49" spans="1:8" ht="12.75">
      <c r="A49" s="4" t="s">
        <v>45</v>
      </c>
      <c r="B49" s="6" t="s">
        <v>164</v>
      </c>
      <c r="C49" s="15">
        <v>0.05</v>
      </c>
      <c r="D49" s="15" t="s">
        <v>3</v>
      </c>
      <c r="E49" s="24"/>
      <c r="F49" s="23"/>
      <c r="G49" s="7">
        <f>IF(F3&gt;50,50,C49*F3)</f>
        <v>0.9</v>
      </c>
      <c r="H49" s="3" t="s">
        <v>4</v>
      </c>
    </row>
    <row r="50" spans="1:8" ht="12.75">
      <c r="A50" s="4" t="s">
        <v>57</v>
      </c>
      <c r="B50" s="6" t="s">
        <v>63</v>
      </c>
      <c r="C50" s="15">
        <v>50</v>
      </c>
      <c r="D50" s="15" t="s">
        <v>58</v>
      </c>
      <c r="E50" s="47">
        <f>C50*F3</f>
        <v>900</v>
      </c>
      <c r="F50" s="48"/>
      <c r="G50" s="53" t="s">
        <v>59</v>
      </c>
      <c r="H50" s="54"/>
    </row>
    <row r="51" spans="1:8" ht="12.75">
      <c r="A51" s="4" t="s">
        <v>85</v>
      </c>
      <c r="B51" s="24"/>
      <c r="C51" s="15">
        <v>1</v>
      </c>
      <c r="D51" s="15" t="s">
        <v>3</v>
      </c>
      <c r="E51" s="24"/>
      <c r="F51" s="23" t="s">
        <v>49</v>
      </c>
      <c r="G51" s="7">
        <f>IF(F3&gt;40,40,C51*F3)</f>
        <v>18</v>
      </c>
      <c r="H51" s="3" t="s">
        <v>4</v>
      </c>
    </row>
    <row r="52" spans="1:8" ht="12.75">
      <c r="A52" s="1" t="s">
        <v>25</v>
      </c>
      <c r="B52" s="3" t="s">
        <v>0</v>
      </c>
      <c r="C52" s="56" t="s">
        <v>67</v>
      </c>
      <c r="D52" s="56"/>
      <c r="E52" s="56" t="s">
        <v>9</v>
      </c>
      <c r="F52" s="56"/>
      <c r="G52" s="56"/>
      <c r="H52" s="56"/>
    </row>
    <row r="53" spans="1:8" ht="12.75">
      <c r="A53" s="4" t="s">
        <v>34</v>
      </c>
      <c r="B53" s="26"/>
      <c r="C53" s="17">
        <v>0.5</v>
      </c>
      <c r="D53" s="15" t="s">
        <v>3</v>
      </c>
      <c r="E53" s="22"/>
      <c r="F53" s="23" t="s">
        <v>49</v>
      </c>
      <c r="G53" s="16">
        <f>IF(F3&lt;10,2.5,IF(F3&lt;=30,5,10))</f>
        <v>5</v>
      </c>
      <c r="H53" s="33" t="s">
        <v>4</v>
      </c>
    </row>
    <row r="54" spans="1:8" ht="12.75">
      <c r="A54" s="4" t="s">
        <v>121</v>
      </c>
      <c r="B54" s="26"/>
      <c r="C54" s="17">
        <v>0.5</v>
      </c>
      <c r="D54" s="15" t="s">
        <v>3</v>
      </c>
      <c r="E54" s="22"/>
      <c r="F54" s="23" t="s">
        <v>49</v>
      </c>
      <c r="G54" s="16">
        <f>IF(F3&lt;7,0.3*F3,IF(F3&lt;=10,2.5,IF(F3&lt;20,5,IF(F3&lt;30,7.5,10))))</f>
        <v>5</v>
      </c>
      <c r="H54" s="33" t="s">
        <v>4</v>
      </c>
    </row>
    <row r="55" spans="1:8" ht="12.75">
      <c r="A55" s="4" t="s">
        <v>35</v>
      </c>
      <c r="B55" s="26"/>
      <c r="C55" s="17">
        <v>0.1</v>
      </c>
      <c r="D55" s="15" t="s">
        <v>165</v>
      </c>
      <c r="E55" s="22"/>
      <c r="F55" s="23" t="s">
        <v>49</v>
      </c>
      <c r="G55" s="16">
        <f>IF(F4&gt;40,4,F3*C55)</f>
        <v>1.8</v>
      </c>
      <c r="H55" s="33" t="s">
        <v>4</v>
      </c>
    </row>
    <row r="56" spans="1:8" ht="12.75">
      <c r="A56" s="4" t="s">
        <v>81</v>
      </c>
      <c r="B56" s="26"/>
      <c r="C56" s="17">
        <v>0.3</v>
      </c>
      <c r="D56" s="15" t="s">
        <v>3</v>
      </c>
      <c r="E56" s="22"/>
      <c r="F56" s="23" t="s">
        <v>49</v>
      </c>
      <c r="G56" s="16">
        <f>C56*F3</f>
        <v>5.3999999999999995</v>
      </c>
      <c r="H56" s="33" t="s">
        <v>4</v>
      </c>
    </row>
    <row r="57" spans="1:8" ht="12.75">
      <c r="A57" s="4" t="s">
        <v>36</v>
      </c>
      <c r="B57" s="5" t="s">
        <v>99</v>
      </c>
      <c r="C57" s="17">
        <v>0.4</v>
      </c>
      <c r="D57" s="15" t="s">
        <v>33</v>
      </c>
      <c r="E57" s="7">
        <f>IF(F3&gt;50,20,F3*C57)</f>
        <v>7.2</v>
      </c>
      <c r="F57" s="3" t="s">
        <v>1</v>
      </c>
      <c r="G57" s="16">
        <f>2*E57</f>
        <v>14.4</v>
      </c>
      <c r="H57" s="33" t="s">
        <v>100</v>
      </c>
    </row>
    <row r="58" spans="1:8" ht="12.75">
      <c r="A58" s="4" t="s">
        <v>166</v>
      </c>
      <c r="B58" s="5" t="s">
        <v>101</v>
      </c>
      <c r="C58" s="17">
        <v>18</v>
      </c>
      <c r="D58" s="15" t="s">
        <v>3</v>
      </c>
      <c r="E58" s="7">
        <f>G58/50</f>
        <v>6.48</v>
      </c>
      <c r="F58" s="3" t="s">
        <v>1</v>
      </c>
      <c r="G58" s="16">
        <f>F3*C58</f>
        <v>324</v>
      </c>
      <c r="H58" s="33" t="s">
        <v>4</v>
      </c>
    </row>
    <row r="59" spans="1:8" ht="12.75">
      <c r="A59" s="4" t="s">
        <v>37</v>
      </c>
      <c r="B59" s="26"/>
      <c r="C59" s="17">
        <v>20</v>
      </c>
      <c r="D59" s="15" t="s">
        <v>3</v>
      </c>
      <c r="E59" s="22"/>
      <c r="F59" s="23" t="s">
        <v>49</v>
      </c>
      <c r="G59" s="16">
        <f>F3*C59</f>
        <v>360</v>
      </c>
      <c r="H59" s="33" t="s">
        <v>4</v>
      </c>
    </row>
    <row r="60" spans="1:8" ht="12.75">
      <c r="A60" s="1" t="s">
        <v>26</v>
      </c>
      <c r="B60" s="3" t="s">
        <v>0</v>
      </c>
      <c r="C60" s="56" t="s">
        <v>67</v>
      </c>
      <c r="D60" s="56"/>
      <c r="E60" s="56" t="s">
        <v>9</v>
      </c>
      <c r="F60" s="56"/>
      <c r="G60" s="56"/>
      <c r="H60" s="56"/>
    </row>
    <row r="61" spans="1:8" ht="12.75">
      <c r="A61" s="4" t="s">
        <v>27</v>
      </c>
      <c r="B61" s="6" t="s">
        <v>104</v>
      </c>
      <c r="C61" s="83" t="s">
        <v>49</v>
      </c>
      <c r="D61" s="84"/>
      <c r="E61" s="84"/>
      <c r="F61" s="85"/>
      <c r="G61" s="7">
        <v>5</v>
      </c>
      <c r="H61" s="33" t="s">
        <v>4</v>
      </c>
    </row>
    <row r="62" spans="1:8" ht="12.75">
      <c r="A62" s="12" t="s">
        <v>28</v>
      </c>
      <c r="B62" s="24"/>
      <c r="C62" s="15">
        <v>0.025</v>
      </c>
      <c r="D62" s="15" t="s">
        <v>3</v>
      </c>
      <c r="E62" s="51">
        <f>IF(F3&lt;10,0.0625,IF(F2&gt;11,500,IF(F2&gt;250,10,IF(F2&gt;1,125))))</f>
        <v>125</v>
      </c>
      <c r="F62" s="55"/>
      <c r="G62" s="52"/>
      <c r="H62" s="33" t="s">
        <v>4</v>
      </c>
    </row>
    <row r="63" spans="1:8" ht="12.75">
      <c r="A63" s="4" t="s">
        <v>29</v>
      </c>
      <c r="B63" s="6" t="s">
        <v>168</v>
      </c>
      <c r="C63" s="15">
        <v>15</v>
      </c>
      <c r="D63" s="15" t="s">
        <v>170</v>
      </c>
      <c r="E63" s="51">
        <f>IF(F3&lt;13,F3*5,IF(F3&gt;16,250,15*F3))</f>
        <v>250</v>
      </c>
      <c r="F63" s="52"/>
      <c r="G63" s="49" t="s">
        <v>169</v>
      </c>
      <c r="H63" s="50"/>
    </row>
    <row r="64" spans="1:8" ht="12.75">
      <c r="A64" s="4" t="s">
        <v>171</v>
      </c>
      <c r="B64" s="24"/>
      <c r="C64" s="15">
        <v>25</v>
      </c>
      <c r="D64" s="15" t="s">
        <v>158</v>
      </c>
      <c r="E64" s="16">
        <f>(G64/5000)*10</f>
        <v>0.8999999999999999</v>
      </c>
      <c r="F64" s="33" t="s">
        <v>56</v>
      </c>
      <c r="G64" s="7">
        <f>IF(F3&gt;80,2000,F3*C64)</f>
        <v>450</v>
      </c>
      <c r="H64" s="3" t="s">
        <v>131</v>
      </c>
    </row>
    <row r="65" spans="1:8" ht="12.75">
      <c r="A65" s="4" t="s">
        <v>41</v>
      </c>
      <c r="B65" s="6" t="s">
        <v>61</v>
      </c>
      <c r="C65" s="15">
        <v>5</v>
      </c>
      <c r="D65" s="15" t="s">
        <v>62</v>
      </c>
      <c r="E65" s="47">
        <f>IF(F3&gt;100,500,F3*C65)</f>
        <v>90</v>
      </c>
      <c r="F65" s="48"/>
      <c r="G65" s="49" t="s">
        <v>4</v>
      </c>
      <c r="H65" s="50"/>
    </row>
    <row r="66" spans="1:8" ht="12.75">
      <c r="A66" s="4" t="s">
        <v>102</v>
      </c>
      <c r="B66" s="6" t="s">
        <v>103</v>
      </c>
      <c r="C66" s="15">
        <v>1</v>
      </c>
      <c r="D66" s="15" t="s">
        <v>3</v>
      </c>
      <c r="E66" s="47">
        <f>F3*C66</f>
        <v>18</v>
      </c>
      <c r="F66" s="48"/>
      <c r="G66" s="49" t="s">
        <v>4</v>
      </c>
      <c r="H66" s="50"/>
    </row>
    <row r="67" spans="1:8" ht="12.75">
      <c r="A67" s="4" t="s">
        <v>86</v>
      </c>
      <c r="B67" s="6" t="s">
        <v>87</v>
      </c>
      <c r="C67" s="15">
        <v>4</v>
      </c>
      <c r="D67" s="15" t="s">
        <v>88</v>
      </c>
      <c r="E67" s="47">
        <f>C67*F3</f>
        <v>72</v>
      </c>
      <c r="F67" s="48"/>
      <c r="G67" s="49" t="s">
        <v>4</v>
      </c>
      <c r="H67" s="50"/>
    </row>
    <row r="68" spans="1:8" ht="12.75">
      <c r="A68" s="4" t="s">
        <v>55</v>
      </c>
      <c r="B68" s="6" t="s">
        <v>60</v>
      </c>
      <c r="C68" s="25"/>
      <c r="D68" s="25"/>
      <c r="E68" s="51">
        <f>IF(F3&lt;13,2.5,5)</f>
        <v>5</v>
      </c>
      <c r="F68" s="52"/>
      <c r="G68" s="49" t="s">
        <v>56</v>
      </c>
      <c r="H68" s="48"/>
    </row>
    <row r="69" spans="1:8" ht="12.75">
      <c r="A69" s="1" t="s">
        <v>42</v>
      </c>
      <c r="B69" s="3" t="s">
        <v>0</v>
      </c>
      <c r="C69" s="56" t="s">
        <v>67</v>
      </c>
      <c r="D69" s="56"/>
      <c r="E69" s="56" t="s">
        <v>9</v>
      </c>
      <c r="F69" s="56"/>
      <c r="G69" s="56"/>
      <c r="H69" s="56"/>
    </row>
    <row r="70" spans="1:8" ht="12.75">
      <c r="A70" s="4" t="s">
        <v>172</v>
      </c>
      <c r="B70" s="29" t="s">
        <v>173</v>
      </c>
      <c r="C70" s="15">
        <v>50</v>
      </c>
      <c r="D70" s="15" t="s">
        <v>3</v>
      </c>
      <c r="E70" s="47">
        <f>IF(F3&lt;20,F3*C70,1000)</f>
        <v>900</v>
      </c>
      <c r="F70" s="48"/>
      <c r="G70" s="49" t="s">
        <v>4</v>
      </c>
      <c r="H70" s="50"/>
    </row>
    <row r="71" spans="1:8" ht="12.75">
      <c r="A71" s="4" t="s">
        <v>174</v>
      </c>
      <c r="B71" s="29" t="s">
        <v>173</v>
      </c>
      <c r="C71" s="15">
        <v>30</v>
      </c>
      <c r="D71" s="15" t="s">
        <v>3</v>
      </c>
      <c r="E71" s="47">
        <f>IF(F3&lt;41,F3*C71,1200)</f>
        <v>540</v>
      </c>
      <c r="F71" s="48"/>
      <c r="G71" s="49" t="s">
        <v>4</v>
      </c>
      <c r="H71" s="50"/>
    </row>
    <row r="72" spans="1:8" ht="12.75">
      <c r="A72" s="4" t="s">
        <v>69</v>
      </c>
      <c r="B72" s="21" t="s">
        <v>71</v>
      </c>
      <c r="C72" s="15">
        <v>50</v>
      </c>
      <c r="D72" s="15" t="s">
        <v>72</v>
      </c>
      <c r="E72" s="47">
        <f>IF(F3&gt;80,4000,F3*C72)</f>
        <v>900</v>
      </c>
      <c r="F72" s="48"/>
      <c r="G72" s="49" t="s">
        <v>4</v>
      </c>
      <c r="H72" s="50"/>
    </row>
    <row r="73" spans="1:8" ht="12.75">
      <c r="A73" s="4" t="s">
        <v>70</v>
      </c>
      <c r="B73" s="21" t="s">
        <v>68</v>
      </c>
      <c r="C73" s="15">
        <v>50</v>
      </c>
      <c r="D73" s="15" t="s">
        <v>175</v>
      </c>
      <c r="E73" s="47">
        <f>F3*C73</f>
        <v>900</v>
      </c>
      <c r="F73" s="48"/>
      <c r="G73" s="49" t="s">
        <v>4</v>
      </c>
      <c r="H73" s="50"/>
    </row>
    <row r="74" spans="1:8" ht="12.75">
      <c r="A74" s="4" t="s">
        <v>83</v>
      </c>
      <c r="B74" s="21" t="s">
        <v>84</v>
      </c>
      <c r="C74" s="15">
        <v>25</v>
      </c>
      <c r="D74" s="15" t="s">
        <v>3</v>
      </c>
      <c r="E74" s="47">
        <f>IF(F3&gt;40,1000,F3*C74)</f>
        <v>450</v>
      </c>
      <c r="F74" s="48"/>
      <c r="G74" s="49" t="s">
        <v>4</v>
      </c>
      <c r="H74" s="50"/>
    </row>
    <row r="75" spans="1:8" ht="12.75">
      <c r="A75" s="4" t="s">
        <v>167</v>
      </c>
      <c r="B75" s="26"/>
      <c r="C75" s="15">
        <v>2</v>
      </c>
      <c r="D75" s="15" t="s">
        <v>3</v>
      </c>
      <c r="E75" s="47">
        <f>F3*C75</f>
        <v>36</v>
      </c>
      <c r="F75" s="48"/>
      <c r="G75" s="49" t="s">
        <v>4</v>
      </c>
      <c r="H75" s="50"/>
    </row>
    <row r="76" spans="1:8" ht="12.75">
      <c r="A76" s="4" t="s">
        <v>46</v>
      </c>
      <c r="B76" s="21" t="s">
        <v>176</v>
      </c>
      <c r="C76" s="15">
        <v>1</v>
      </c>
      <c r="D76" s="15" t="s">
        <v>47</v>
      </c>
      <c r="E76" s="47">
        <f>IF(F3&gt;50,50,F3*C76)</f>
        <v>18</v>
      </c>
      <c r="F76" s="48"/>
      <c r="G76" s="49" t="s">
        <v>48</v>
      </c>
      <c r="H76" s="50"/>
    </row>
    <row r="77" spans="1:8" ht="12.75">
      <c r="A77" s="1" t="s">
        <v>73</v>
      </c>
      <c r="B77" s="3" t="s">
        <v>0</v>
      </c>
      <c r="C77" s="56" t="s">
        <v>67</v>
      </c>
      <c r="D77" s="56"/>
      <c r="E77" s="56" t="s">
        <v>9</v>
      </c>
      <c r="F77" s="56"/>
      <c r="G77" s="56"/>
      <c r="H77" s="56"/>
    </row>
    <row r="78" spans="1:8" ht="12.75">
      <c r="A78" s="4" t="s">
        <v>54</v>
      </c>
      <c r="B78" s="6" t="s">
        <v>53</v>
      </c>
      <c r="C78" s="6">
        <v>0.01</v>
      </c>
      <c r="D78" s="6" t="s">
        <v>3</v>
      </c>
      <c r="E78" s="7">
        <f>0.01*F3</f>
        <v>0.18</v>
      </c>
      <c r="F78" s="3" t="s">
        <v>1</v>
      </c>
      <c r="G78" s="7">
        <f>C78*F3</f>
        <v>0.18</v>
      </c>
      <c r="H78" s="3" t="s">
        <v>4</v>
      </c>
    </row>
    <row r="79" spans="1:8" ht="12.75">
      <c r="A79" s="4" t="s">
        <v>75</v>
      </c>
      <c r="B79" s="6" t="s">
        <v>53</v>
      </c>
      <c r="C79" s="15">
        <v>0.25</v>
      </c>
      <c r="D79" s="15" t="s">
        <v>74</v>
      </c>
      <c r="E79" s="24"/>
      <c r="F79" s="23"/>
      <c r="G79" s="7">
        <f>IF(F3&lt;10,0.25*F3,IF(F3&gt;28,20,IF(F3&gt;17,10,IF(F3&gt;=10,5))))</f>
        <v>10</v>
      </c>
      <c r="H79" s="33" t="s">
        <v>4</v>
      </c>
    </row>
    <row r="80" spans="1:8" ht="12.75">
      <c r="A80" s="1" t="s">
        <v>93</v>
      </c>
      <c r="B80" s="3" t="s">
        <v>0</v>
      </c>
      <c r="C80" s="56" t="s">
        <v>67</v>
      </c>
      <c r="D80" s="56"/>
      <c r="E80" s="56" t="s">
        <v>9</v>
      </c>
      <c r="F80" s="56"/>
      <c r="G80" s="56"/>
      <c r="H80" s="56"/>
    </row>
    <row r="81" spans="1:8" ht="12.75">
      <c r="A81" s="4" t="s">
        <v>77</v>
      </c>
      <c r="B81" s="26"/>
      <c r="C81" s="15">
        <v>15</v>
      </c>
      <c r="D81" s="15" t="s">
        <v>78</v>
      </c>
      <c r="E81" s="47">
        <f>C81*F3</f>
        <v>270</v>
      </c>
      <c r="F81" s="48"/>
      <c r="G81" s="49" t="s">
        <v>79</v>
      </c>
      <c r="H81" s="50"/>
    </row>
    <row r="82" spans="1:8" ht="12.75">
      <c r="A82" s="4" t="s">
        <v>90</v>
      </c>
      <c r="B82" s="26"/>
      <c r="C82" s="15">
        <v>0.1</v>
      </c>
      <c r="D82" s="15" t="s">
        <v>91</v>
      </c>
      <c r="E82" s="47">
        <f>C82*F3</f>
        <v>1.8</v>
      </c>
      <c r="F82" s="48"/>
      <c r="G82" s="49" t="s">
        <v>177</v>
      </c>
      <c r="H82" s="50"/>
    </row>
    <row r="83" spans="1:8" ht="12.75">
      <c r="A83" s="4" t="s">
        <v>92</v>
      </c>
      <c r="B83" s="26"/>
      <c r="C83" s="15">
        <v>3</v>
      </c>
      <c r="D83" s="15" t="s">
        <v>3</v>
      </c>
      <c r="E83" s="47">
        <f>F3*C83</f>
        <v>54</v>
      </c>
      <c r="F83" s="48"/>
      <c r="G83" s="49" t="s">
        <v>4</v>
      </c>
      <c r="H83" s="50"/>
    </row>
    <row r="84" spans="1:8" ht="12.75">
      <c r="A84" s="4" t="s">
        <v>96</v>
      </c>
      <c r="B84" s="21" t="s">
        <v>94</v>
      </c>
      <c r="C84" s="15">
        <v>0.5</v>
      </c>
      <c r="D84" s="15" t="s">
        <v>47</v>
      </c>
      <c r="E84" s="7">
        <f>5*F3</f>
        <v>90</v>
      </c>
      <c r="F84" s="3" t="s">
        <v>1</v>
      </c>
      <c r="G84" s="7">
        <f>C84*F3</f>
        <v>9</v>
      </c>
      <c r="H84" s="33" t="s">
        <v>48</v>
      </c>
    </row>
    <row r="85" spans="1:8" ht="12.75">
      <c r="A85" s="4" t="s">
        <v>95</v>
      </c>
      <c r="B85" s="21" t="s">
        <v>94</v>
      </c>
      <c r="C85" s="15">
        <v>0.5</v>
      </c>
      <c r="D85" s="15" t="s">
        <v>47</v>
      </c>
      <c r="E85" s="7">
        <f>2.5*F3</f>
        <v>45</v>
      </c>
      <c r="F85" s="3" t="s">
        <v>1</v>
      </c>
      <c r="G85" s="7">
        <f>C85*F3</f>
        <v>9</v>
      </c>
      <c r="H85" s="33" t="s">
        <v>48</v>
      </c>
    </row>
    <row r="86" spans="1:4" ht="15.75">
      <c r="A86" s="40" t="s">
        <v>111</v>
      </c>
      <c r="B86" s="41"/>
      <c r="D86" s="42" t="s">
        <v>184</v>
      </c>
    </row>
    <row r="87" spans="1:9" ht="15">
      <c r="A87" s="37" t="s">
        <v>145</v>
      </c>
      <c r="B87" s="38"/>
      <c r="C87" s="38"/>
      <c r="D87" s="38"/>
      <c r="E87" s="39"/>
      <c r="F87" s="39"/>
      <c r="G87" s="39"/>
      <c r="H87" s="39"/>
      <c r="I87" s="39"/>
    </row>
  </sheetData>
  <sheetProtection password="CB2D" sheet="1" objects="1" scenarios="1"/>
  <protectedRanges>
    <protectedRange password="DBD9" sqref="F1:H2" name="Range1"/>
  </protectedRanges>
  <mergeCells count="94">
    <mergeCell ref="B13:D13"/>
    <mergeCell ref="C80:D80"/>
    <mergeCell ref="E80:H80"/>
    <mergeCell ref="A1:C1"/>
    <mergeCell ref="C77:D77"/>
    <mergeCell ref="E77:H77"/>
    <mergeCell ref="E30:G30"/>
    <mergeCell ref="E31:G31"/>
    <mergeCell ref="E62:G62"/>
    <mergeCell ref="C61:F61"/>
    <mergeCell ref="B9:C9"/>
    <mergeCell ref="A2:C2"/>
    <mergeCell ref="C69:D69"/>
    <mergeCell ref="E69:H69"/>
    <mergeCell ref="C44:D44"/>
    <mergeCell ref="E44:H44"/>
    <mergeCell ref="E52:H52"/>
    <mergeCell ref="C60:D60"/>
    <mergeCell ref="F5:H5"/>
    <mergeCell ref="B10:C10"/>
    <mergeCell ref="B12:D12"/>
    <mergeCell ref="F6:H6"/>
    <mergeCell ref="D1:E1"/>
    <mergeCell ref="D2:E2"/>
    <mergeCell ref="F2:H2"/>
    <mergeCell ref="F1:H1"/>
    <mergeCell ref="F3:G3"/>
    <mergeCell ref="D3:E3"/>
    <mergeCell ref="C4:D4"/>
    <mergeCell ref="E4:H4"/>
    <mergeCell ref="A3:C3"/>
    <mergeCell ref="C14:D14"/>
    <mergeCell ref="G11:H11"/>
    <mergeCell ref="E14:H14"/>
    <mergeCell ref="F7:H7"/>
    <mergeCell ref="F8:H8"/>
    <mergeCell ref="F13:H13"/>
    <mergeCell ref="F9:H9"/>
    <mergeCell ref="F10:H10"/>
    <mergeCell ref="F12:H12"/>
    <mergeCell ref="C25:D25"/>
    <mergeCell ref="G23:H23"/>
    <mergeCell ref="G24:H24"/>
    <mergeCell ref="E60:H60"/>
    <mergeCell ref="C52:D52"/>
    <mergeCell ref="E23:F23"/>
    <mergeCell ref="E24:F24"/>
    <mergeCell ref="E25:H25"/>
    <mergeCell ref="C32:D32"/>
    <mergeCell ref="E32:H32"/>
    <mergeCell ref="G18:H18"/>
    <mergeCell ref="E18:F18"/>
    <mergeCell ref="G19:H19"/>
    <mergeCell ref="E19:F19"/>
    <mergeCell ref="E20:F20"/>
    <mergeCell ref="G20:H20"/>
    <mergeCell ref="G50:H50"/>
    <mergeCell ref="E50:F50"/>
    <mergeCell ref="E22:F22"/>
    <mergeCell ref="G22:H22"/>
    <mergeCell ref="G45:H45"/>
    <mergeCell ref="E45:F45"/>
    <mergeCell ref="E28:G28"/>
    <mergeCell ref="E29:G29"/>
    <mergeCell ref="E63:F63"/>
    <mergeCell ref="G63:H63"/>
    <mergeCell ref="G65:H65"/>
    <mergeCell ref="E65:F65"/>
    <mergeCell ref="E66:F66"/>
    <mergeCell ref="G66:H66"/>
    <mergeCell ref="E67:F67"/>
    <mergeCell ref="G67:H67"/>
    <mergeCell ref="G68:H68"/>
    <mergeCell ref="E68:F68"/>
    <mergeCell ref="E70:F70"/>
    <mergeCell ref="G70:H70"/>
    <mergeCell ref="E71:F71"/>
    <mergeCell ref="E72:F72"/>
    <mergeCell ref="E73:F73"/>
    <mergeCell ref="E74:F74"/>
    <mergeCell ref="G71:H71"/>
    <mergeCell ref="G72:H72"/>
    <mergeCell ref="G73:H73"/>
    <mergeCell ref="G74:H74"/>
    <mergeCell ref="G75:H75"/>
    <mergeCell ref="G76:H76"/>
    <mergeCell ref="E81:F81"/>
    <mergeCell ref="G81:H81"/>
    <mergeCell ref="E75:F75"/>
    <mergeCell ref="E76:F76"/>
    <mergeCell ref="E83:F83"/>
    <mergeCell ref="G83:H83"/>
    <mergeCell ref="E82:F82"/>
    <mergeCell ref="G82:H8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Reed</dc:creator>
  <cp:keywords/>
  <dc:description/>
  <cp:lastModifiedBy>Matt Reed</cp:lastModifiedBy>
  <cp:lastPrinted>2006-04-11T10:42:47Z</cp:lastPrinted>
  <dcterms:created xsi:type="dcterms:W3CDTF">2005-10-12T12:34:24Z</dcterms:created>
  <dcterms:modified xsi:type="dcterms:W3CDTF">2007-08-13T14:44:12Z</dcterms:modified>
  <cp:category/>
  <cp:version/>
  <cp:contentType/>
  <cp:contentStatus/>
</cp:coreProperties>
</file>